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7149481\Desktop\ADELI 2020 ESTEFANIA\GOBIERNO EN LINE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K23" i="1"/>
  <c r="J23" i="1"/>
  <c r="I23" i="1"/>
  <c r="H23" i="1"/>
  <c r="K22" i="1"/>
  <c r="J22" i="1"/>
  <c r="I22" i="1"/>
  <c r="K21" i="1"/>
  <c r="J21" i="1"/>
  <c r="I21" i="1"/>
  <c r="K20" i="1"/>
  <c r="J20" i="1"/>
  <c r="I20" i="1"/>
  <c r="I17" i="1"/>
  <c r="I16" i="1" l="1"/>
  <c r="I15" i="1"/>
  <c r="I14" i="1"/>
  <c r="I13" i="1"/>
  <c r="I11" i="1"/>
  <c r="I10" i="1"/>
  <c r="I9" i="1"/>
  <c r="I8" i="1"/>
  <c r="I7" i="1"/>
  <c r="I6" i="1"/>
  <c r="I4" i="1"/>
  <c r="I3" i="1"/>
  <c r="I2" i="1"/>
  <c r="I30" i="1"/>
  <c r="K30" i="1" s="1"/>
  <c r="I29" i="1"/>
  <c r="K29" i="1" s="1"/>
  <c r="J27" i="1"/>
  <c r="K27" i="1" l="1"/>
  <c r="J29" i="1"/>
  <c r="S23" i="1"/>
  <c r="S22" i="1"/>
  <c r="R22" i="1"/>
  <c r="S21" i="1"/>
  <c r="R20" i="1"/>
  <c r="S20" i="1" s="1"/>
  <c r="K26" i="1" l="1"/>
  <c r="K25" i="1"/>
  <c r="K19" i="1"/>
  <c r="J19" i="1"/>
  <c r="K18" i="1"/>
  <c r="J18" i="1"/>
  <c r="K17" i="1"/>
  <c r="K16" i="1"/>
  <c r="J16" i="1"/>
  <c r="K15" i="1"/>
  <c r="K14" i="1"/>
  <c r="K13" i="1"/>
  <c r="K12" i="1"/>
  <c r="J12" i="1"/>
  <c r="K11" i="1"/>
  <c r="K10" i="1"/>
  <c r="K9" i="1"/>
  <c r="J8" i="1"/>
  <c r="K7" i="1"/>
  <c r="K6" i="1"/>
  <c r="K5" i="1"/>
  <c r="J5" i="1"/>
  <c r="J4" i="1"/>
  <c r="K3" i="1"/>
  <c r="J2" i="1"/>
  <c r="J9" i="1" l="1"/>
  <c r="J15" i="1"/>
  <c r="K8" i="1"/>
  <c r="K2" i="1"/>
  <c r="J7" i="1"/>
  <c r="J11" i="1"/>
  <c r="J14" i="1"/>
  <c r="J3" i="1"/>
  <c r="K4" i="1"/>
  <c r="J6" i="1"/>
  <c r="J10" i="1"/>
  <c r="J13" i="1"/>
  <c r="J17" i="1"/>
</calcChain>
</file>

<file path=xl/comments1.xml><?xml version="1.0" encoding="utf-8"?>
<comments xmlns="http://schemas.openxmlformats.org/spreadsheetml/2006/main">
  <authors>
    <author>Estefanía Sánchez Zapata</author>
  </authors>
  <commentList>
    <comment ref="G24" authorId="0" shapeId="0">
      <text>
        <r>
          <rPr>
            <b/>
            <sz val="9"/>
            <color indexed="81"/>
            <rFont val="Tahoma"/>
            <charset val="1"/>
          </rPr>
          <t>Estefanía Sánchez Zapata:</t>
        </r>
        <r>
          <rPr>
            <sz val="9"/>
            <color indexed="81"/>
            <rFont val="Tahoma"/>
            <charset val="1"/>
          </rPr>
          <t xml:space="preserve">
Rubro presupuestal: 01140627900101-01 (24/07/2020)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Estefanía Sánchez Zapata:</t>
        </r>
        <r>
          <rPr>
            <sz val="9"/>
            <color indexed="81"/>
            <rFont val="Tahoma"/>
            <charset val="1"/>
          </rPr>
          <t xml:space="preserve">
Supervisión Adeli: Ana Maria González.</t>
        </r>
      </text>
    </comment>
  </commentList>
</comments>
</file>

<file path=xl/sharedStrings.xml><?xml version="1.0" encoding="utf-8"?>
<sst xmlns="http://schemas.openxmlformats.org/spreadsheetml/2006/main" count="175" uniqueCount="165">
  <si>
    <t xml:space="preserve">Contrato </t>
  </si>
  <si>
    <t>Objeto</t>
  </si>
  <si>
    <t>NIT</t>
  </si>
  <si>
    <t>Contratista</t>
  </si>
  <si>
    <t>Fecha 
Inicio</t>
  </si>
  <si>
    <t xml:space="preserve">Fecha
 Term </t>
  </si>
  <si>
    <t>Valor
Inicial</t>
  </si>
  <si>
    <t>Adición</t>
  </si>
  <si>
    <t>Vlr 
Ejecutado</t>
  </si>
  <si>
    <t>Vlr 
pendiente por ejecutar</t>
  </si>
  <si>
    <t>% Ejecucion Presupuestal</t>
  </si>
  <si>
    <t>PRESTACIÓN DE SERVICIOS PROFESIONALES COMO CONTADOR PÚBLICO DE LA AGENCIA DE DESARROLLO LOCAL DE ITAGUI- ADELI</t>
  </si>
  <si>
    <t>OSCAR DAVID PIEDRAHITA CARDONA</t>
  </si>
  <si>
    <t>PRESTACIÓN DE SERVICIOS PARA APOYAR Y FORTALECER EL SISTEMA DE CONTROL INTERNO DE LA AGENCIA DE DESARROLLO LOCAL DE ITAGÜÍ - ADELI</t>
  </si>
  <si>
    <t xml:space="preserve">WILFRAN DE JESUS 
LÓPEZ IDARRAGA </t>
  </si>
  <si>
    <t>-</t>
  </si>
  <si>
    <t>PRESTACIÓN DE SERVICIOS DE APOYO A LA GESTIÓN EN LA REALIZACIÓN DE TAREAS OPERATIVAS, ACOMPAÑAMIENTO Y SOPORTE EN EVENTOS Y FERIAS, ASÍ MISMO, ASISTENCIA EN LAS DEMÁS ACTIVIDADES PROPIAS DEL OBJETO SOCIAL DE LA AGENCIA DE DESARROLLO LOCAL DE ITAGÜÍ</t>
  </si>
  <si>
    <t xml:space="preserve">ALEJANDRO JIMENEZ GALLO </t>
  </si>
  <si>
    <t>PRESTACIÓN DE SERVICIOS PROFESIONALES EN EL APOYO CONTABLE Y FINANCIERO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</si>
  <si>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 xml:space="preserve">DAVID MEJIA MONTOYA  </t>
  </si>
  <si>
    <t>PRESTACIÓN DE SERVICIOS PROFESIONALES COMO ABOGADA,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</si>
  <si>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 xml:space="preserve">DIANA SOFIA RESTREPO ANGEL </t>
  </si>
  <si>
    <t>PRESTACIÓN DE SERVICIOS PROFESIONALES COMO ABOGADO COORDINADOR PARA DAR CONTINUIDAD DE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ITAGÜÍ.”</t>
  </si>
  <si>
    <t xml:space="preserve">WILMAN ANTONIO ROJO ZAPATA </t>
  </si>
  <si>
    <t>PRESTACIÓN DE SERVICIOS DE APOYO A LA GESTIÓN COMO MENSAJERO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</si>
  <si>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 xml:space="preserve">JUAN PABLO ANGEL OTALVARO </t>
  </si>
  <si>
    <t>PRESTACIÓN DE SERVICIOS PARA LA ACTUALIZACION, SOPORTE Y MANTENIMIENTO DEL SOFTWARE ADMINISTRATIVO Y FINANCIERO DE LA AGENCIA DE DESARROLLO LOCAL DE ITAGÜÍ - ADELI.</t>
  </si>
  <si>
    <t>901.337.523-6</t>
  </si>
  <si>
    <t>INTEGRAL V6 S.A.S</t>
  </si>
  <si>
    <t>PRESTACIÓN DE SERVICIOS DE APOYO INSTITUCIONAL EN EL AVANCE DE LA IMPLEMENTACIÓN DE LAS POLÍTICAS DE GOBIERNO DIGITAL, ASÍ COMO LA ASESORÍA Y ACTUALIZACIÓN EN GESTIÓN DOCUMENTAL DE LA AGENCIA DE DESARROLLO LOCAL DE ITAGÜÍ.</t>
  </si>
  <si>
    <t>901.360.032-8</t>
  </si>
  <si>
    <t>PONCE ASESORES Y CONSULTORES S.A.S</t>
  </si>
  <si>
    <t>PRESTACIÓN DE SERVICIOS PROFESIONALES PARA LA ASESORÍA, SOPORTE Y MANTENIMIENTO DEL SITIO WEB INSTITUCIONAL, DEL SISGED Y LOS CORREOS ELECTRÓNICOS INSTITUCIONALES, ASÍ COMO LA ADMINISTRACIÓN DEL SERVIDOR DE LA AGENCIA DE DESARROLLO LOCAL DE ITAGÜI.</t>
  </si>
  <si>
    <t>901.144.915-0</t>
  </si>
  <si>
    <t>CODWEB S.A.S</t>
  </si>
  <si>
    <t>PRESTACIÓN DE SERVICIOS COMO INTERMEDIARIO DE SEGUROS, PARA EL ACOMPAÑAMIENTO EN LA ELECCIÓN DE LA COMPAÑÍA ASEGURADORA Y EN LA ASESORÍA CONSTANTE DEL PROGRAMA DE SEGUROS DE LA AGENCIA DE DESARROLLO LOCAL DE ITAGÜÍ, LA CUAL INCLUYE ASESORÍA Y GESTIÓN EN MATERIA DE RECLAMACIONES POR SINIESTROS Y EN GENERAL EN TODO LO RELACIONADO CON EL CONTRATO DE SEGUROS.</t>
  </si>
  <si>
    <t xml:space="preserve">811.046.240-1. </t>
  </si>
  <si>
    <t>SALIANZA LTDA</t>
  </si>
  <si>
    <t>PRESTACIÓN DE SERVICIOS PROFESIONALES DE UNA INGENIERA CIVIL COMO APOYO A LAS ACTIVIDADES DE LA DIRECCIÓN OPERATIVA Y DE PROYECTOS DE ADELI Y ACOMPAÑAMIENTO EN LAS DEMÁS ACTIVIDADES MISIONALES DE LA AGENCIA.</t>
  </si>
  <si>
    <t xml:space="preserve">ADRIANA ZOBEIDA BUITRAGO MESA </t>
  </si>
  <si>
    <t>PRESTACIÓN DE SERVICIOS PROFESIONALES DE UN ADMINISTRADOR EN SALUD OCUPACIONAL, PARA EL ACOMPAÑAMIENTO, IMPLEMENTACIÓN, EJECUCIÓN, ACTUALIZACIÓN Y DOCUMENTACIÓN DEL SISTEMA DE GESTIÓN DE SEGURIDAD Y SALUD EN EL TRABAJO (SG-SST) EN LA AGENCIA DE DESARROLLO LOCAL DE ITAGÜÍ</t>
  </si>
  <si>
    <t xml:space="preserve">ERICA VIVIANA BEDOYA VILLADA </t>
  </si>
  <si>
    <t>PRESTACIÓN DE SERVICIOS PROFESIONALES PARA BRINDAR ACOMPAÑAMIENTO Y APOYO JURÍDICO A LAS DIFERENTES ÁREAS DE LA AGENCIA DE DESARROLLO LOCAL DE ITAGUI- ADELI</t>
  </si>
  <si>
    <t xml:space="preserve">MAURICIO ALEXANDER BLANDON VILLEGAS </t>
  </si>
  <si>
    <t>PRESTACIÓN DE SERVICIOS PROFESIONALES DE CONSTRUCTOR CIVIL ESPECIALISTA, COMO APOYO A LAS ACTIVIDADES DE LA DIRECCIÓN OPERATIVA Y DE PROYECTOS DE ADELI Y ACOMPAÑAMIENTO EN LAS DEMÁS ACTIVIDADES MISIONALES DE LA AGENCIA</t>
  </si>
  <si>
    <t>ANA MARIA GONZALEZ QUINTERO</t>
  </si>
  <si>
    <t>PRESTACIÓN DE SERVICIOS PROFESIONALES COMO COMUNICADOR PARA FORTALECER LA EMPRESA INDUSTRIAL COMERCIAL DEL ESTADO – ADELI, EN TODO LO RELACIONADO CON COMUNICACIONES Y MEDIOS.</t>
  </si>
  <si>
    <t>SEBASTIAN ZULUAGA ARIAS</t>
  </si>
  <si>
    <t>SERVICIO DE IMPRESIÓN Y COPIADO DE DOCUMENTOS BAJO LA MODALIDAD DE OUTSOURCING; ASÍ MISMO, MANTENIMIENTO Y SUMINISTRO Y RECARGA DE TÓNER Y REPUESTOS DEL ESCÁNER E IMPRESORA PROPIEDAD DE LA EMPRESA INDUSTRIAL Y COMERCIAL DEL ESTADO ADELI.</t>
  </si>
  <si>
    <t>900.024.793-0</t>
  </si>
  <si>
    <t xml:space="preserve">COPYPAISA LTDA. </t>
  </si>
  <si>
    <t>SUMINISTRO DE ELEMENTOS E INSUMOS DE BIOSEGURIDAD, DE PREVENCIÓN, LIMPIEZA Y DESINFECCIÓN, REQUERIDOS PARA LA EJECUCIÓN DEL PROTOCOLO GENERAL DE BIOSEGURIDAD PARA LA PREVENCIÓN DEL COVID –19 EN LA AGENCIA DE DESARROLLO LOCAL DE ITAGÜÍ – ADELI.</t>
  </si>
  <si>
    <t xml:space="preserve">JUAN FERNANDO CORRALES RESTREPO </t>
  </si>
  <si>
    <t>PRESTACION DE SERVICIOS PROFESIONALES EN EL APOYO CONTANBLE Y FINANCIERO EN LA GESTION SOCIO-PREDIAL Y LA ADQUISICIÓN DE INMUEBLES Y/O MEJORAS REQUERIDAS PARA LA CONSTRUCCION DEL PROYECTO "INTERCAMBIO VIAL DE LA AYURÁ ENTRE LOS MUNICIPIOS DE ENVIGADO E ITAGÜÍ", ASI COMO AQUELLOS NECESARIOS PARA LA CONSTRUCCION DEL PROYECTO INTERCAMBIO VIAL INDUAMERICA DE LA CARRERA 50A CON CALLE 36 Y 37B DEL MUNICIPIO DE ITAGÜÍ.</t>
  </si>
  <si>
    <t>PRESTACION DE SERVICIOS PROFESIONALES PARA REALIZAR EL AVALUÓ DE BIEN INMUEBLE A FIN DE CONTINUAR CON LA GESTION GESTION SOCIO-PREDIAL Y LA ADQUISICIÓN DE INMUEBLES Y/O MEJORAS REQUERIDAS PARA LA CONSTRUCCION DEL PROYECTO "INTERCAMBIO VIAL DE LA AYURÁ ENTRE LOS MUNICIPIOS DE ENVIGADO E ITAGÜÍ", ASI COMO AQUELLOS NECESARIOS PARA LA CONSTRUCCION DEL PROYECTO INTERCAMBIO VIAL INDUAMERICA DE LA CARRERA 50A CON CALLE 36 Y 37B DEL MUNICIPIO DE ITAGÜÍ.</t>
  </si>
  <si>
    <t>900.232.534-1</t>
  </si>
  <si>
    <t>AVALUOS Y TASACIONES DE COLOMBIA VALORAR S.A</t>
  </si>
  <si>
    <t>https://www.contratos.gov.co/consultas/detalleProceso.do?numConstancia=20-4-10306815</t>
  </si>
  <si>
    <t>https://www.contratos.gov.co/consultas/detalleProceso.do?numConstancia=20-4-10306939</t>
  </si>
  <si>
    <t>https://www.contratos.gov.co/consultas/detalleProceso.do?numConstancia=20-4-10461337</t>
  </si>
  <si>
    <t>https://www.contratos.gov.co/consultas/detalleProceso.do?numConstancia=20-4-10468220</t>
  </si>
  <si>
    <t>https://www.contratos.gov.co/consultas/detalleProceso.do?numConstancia=20-4-10466814</t>
  </si>
  <si>
    <t>https://www.contratos.gov.co/consultas/detalleProceso.do?numConstancia=20-4-10468814</t>
  </si>
  <si>
    <t>https://www.contratos.gov.co/consultas/detalleProceso.do?numConstancia=20-4-10518932</t>
  </si>
  <si>
    <t>https://www.contratos.gov.co/consultas/detalleProceso.do?numConstancia=20-4-10582864</t>
  </si>
  <si>
    <t>https://www.contratos.gov.co/consultas/detalleProceso.do?numConstancia=20-4-10614730</t>
  </si>
  <si>
    <t>https://www.contratos.gov.co/consultas/detalleProceso.do?numConstancia=20-4-10622854</t>
  </si>
  <si>
    <t>https://www.contratos.gov.co/consultas/detalleProceso.do?numConstancia=20-4-10678799</t>
  </si>
  <si>
    <t>https://www.contratos.gov.co/consultas/detalleProceso.do?numConstancia=20-4-10757641</t>
  </si>
  <si>
    <t>https://www.contratos.gov.co/consultas/detalleProceso.do?numConstancia=20-4-10770756</t>
  </si>
  <si>
    <t>https://www.contratos.gov.co/consultas/detalleProceso.do?numConstancia=20-4-10876322</t>
  </si>
  <si>
    <t>https://www.contratos.gov.co/consultas/detalleProceso.do?numConstancia=20-4-10941150</t>
  </si>
  <si>
    <t>Publicaciòn</t>
  </si>
  <si>
    <t>https://www.contratos.gov.co/consultas/detalleProceso.do?numConstancia=20-4-10944933</t>
  </si>
  <si>
    <t>https://www.contratos.gov.co/consultas/detalleProceso.do?numConstancia=20-4-11002056</t>
  </si>
  <si>
    <t>https://www.contratos.gov.co/consultas/detalleProceso.do?numConstancia=20-4-11011338</t>
  </si>
  <si>
    <t>https://www.contratos.gov.co/consultas/detalleProceso.do?numConstancia=20-4-11116389</t>
  </si>
  <si>
    <t>MEJORAMIENTO DE LA INFRAESTRUCTURA INSTITUCIONAL Y DE ESCENARIOS RECREATIVOS Y DEPORTIVOS EN EL MUNICIPIO DE ITAGÜÍ.</t>
  </si>
  <si>
    <t>901.400.791-2</t>
  </si>
  <si>
    <r>
      <t xml:space="preserve">CONSORCIO PS-MDH
</t>
    </r>
    <r>
      <rPr>
        <sz val="8"/>
        <color rgb="FFFF0000"/>
        <rFont val="Calibri"/>
        <family val="2"/>
        <scheme val="minor"/>
      </rPr>
      <t>(INV. PUBLICA. N°3)</t>
    </r>
  </si>
  <si>
    <t>INTERVENTORIA TECNICA, ADMINISTRATIVA, FIANANCIERA, CONTABLE, LEGAL Y AMBIENTAL PARA EL MEJORAMIENTO DE LA INFRAESTRUCTURA INSTITUCIONAL Y DE ESCENARIOS RECREATIVOS Y DEPORTIVOS EN EL MUNICIPIO DE ITAGÜÍ.</t>
  </si>
  <si>
    <t>901.400.784-0</t>
  </si>
  <si>
    <r>
      <t xml:space="preserve">CONSORCIO MANTENIMIENTO 2020
</t>
    </r>
    <r>
      <rPr>
        <sz val="8"/>
        <color rgb="FFFF0000"/>
        <rFont val="Calibri"/>
        <family val="2"/>
        <scheme val="minor"/>
      </rPr>
      <t>(INV. PRIVADA. N°1)</t>
    </r>
  </si>
  <si>
    <t>MEJORAMIENTO DE LA TRANSITABILIDAD VEHÌCULAR Y PEATONAL A FIN DE OPTIMIZAR  LA SEGURIDAD VIAL EN EL MUNICIPIO DE ITAGÜÍ.</t>
  </si>
  <si>
    <t>901.401.454-1</t>
  </si>
  <si>
    <r>
      <t xml:space="preserve">UNION TEMPORAL MANTENIMIENTO 2020
</t>
    </r>
    <r>
      <rPr>
        <sz val="8"/>
        <color rgb="FFFF0000"/>
        <rFont val="Calibri"/>
        <family val="2"/>
        <scheme val="minor"/>
      </rPr>
      <t>(INV. PUBLICA. N°1)</t>
    </r>
  </si>
  <si>
    <t>INTERVENTORIA TECNICA, ADMINISTRATIVA,FIANANCIERA, CONTABLE, LEGAL Y AMBIENTAL AL CONTRATO DE MEJORAMIENTO DE LA TRANSITABILIDAD VEHÌCULAR Y PEATONAL A FIN DE OPTIMIZAR  LA SEGURIDAD VIAL EN EL MUNICIPIO DE ITAGÜÍ.</t>
  </si>
  <si>
    <t>901.402.486-1</t>
  </si>
  <si>
    <r>
      <t xml:space="preserve">UNION TEMPORAL ITAGUI 1
</t>
    </r>
    <r>
      <rPr>
        <sz val="8"/>
        <color rgb="FFFF0000"/>
        <rFont val="Calibri"/>
        <family val="2"/>
        <scheme val="minor"/>
      </rPr>
      <t>(INV. PUBLICA. N°2)</t>
    </r>
  </si>
  <si>
    <t>INSTALACIÓN Y PUESTA EN MARCHA DE FIBRA ÓPTICA ADDS MONOMODO, PARA EL MEJORAMIENTO DE LAS TIC DE LA ADMINISTRACIÓN MUNICIPAL Y ENTIDADES DESECENTRALIZADAS EN EL MUNICIPIO DE ITAGÜÍ.</t>
  </si>
  <si>
    <t>990.155.215-7</t>
  </si>
  <si>
    <t>ENERGIZANDO INGENIERÍA Y CONSTRUCCIÓN S.A.S</t>
  </si>
  <si>
    <t>Estado de Avance</t>
  </si>
  <si>
    <t>63.6%</t>
  </si>
  <si>
    <t>N/A</t>
  </si>
  <si>
    <t>026-2020</t>
  </si>
  <si>
    <t>900.771.417-1</t>
  </si>
  <si>
    <t>CHRISTMAS FARAH S.A.S</t>
  </si>
  <si>
    <r>
      <t>ARRENDAMIENTO DEL ALUMBRADO NAVIDEÑO</t>
    </r>
    <r>
      <rPr>
        <sz val="9"/>
        <color rgb="FF000000"/>
        <rFont val="Calibri"/>
        <family val="2"/>
        <scheme val="minor"/>
      </rPr>
      <t xml:space="preserve"> 2020, PARA EL MUNICIPIO DE ITAGÜÍ.</t>
    </r>
    <r>
      <rPr>
        <sz val="9"/>
        <color theme="1"/>
        <rFont val="Calibri"/>
        <family val="2"/>
        <scheme val="minor"/>
      </rPr>
      <t xml:space="preserve"> </t>
    </r>
  </si>
  <si>
    <t>Error en asignción, no se utilizó el consecutivo 027.</t>
  </si>
  <si>
    <t>028-2020</t>
  </si>
  <si>
    <t>SELECCIÓN DE CONSULTOR PARA LA ELABORACIÓN DE ESTUDIOS Y DISEÑOS REQUERIDOS PARA LA CONSTRUCCIÓN DE LA NUEVA SEDE DEL GAULA EN EL MUNICIPIO DE ITAGÜÍ.</t>
  </si>
  <si>
    <t>900.200.807-1</t>
  </si>
  <si>
    <r>
      <t xml:space="preserve">DISECONTRUIR S.A.S
</t>
    </r>
    <r>
      <rPr>
        <sz val="9"/>
        <color rgb="FFFF0000"/>
        <rFont val="Calibri"/>
        <family val="2"/>
        <scheme val="minor"/>
      </rPr>
      <t>(INV. PRIVADA N°003)</t>
    </r>
  </si>
  <si>
    <t>029-2020</t>
  </si>
  <si>
    <t>SELECCIÓN DE CONSULTOR PARA LA ELABORACIÓN DE ESTUDIOS Y DISEÑOS REQUERIDOS PARA EL PROYECTO DE INFRAESTRUCTURA VIAL Y SANEAMIENTO BÁSICO E INSTITUCIONES EDUCATIVAS Y ESTABILIZACIÓN DE TALUDES EN EL MUNICIPIO DE ITAGÜÍ</t>
  </si>
  <si>
    <t>900.355,180-6</t>
  </si>
  <si>
    <r>
      <t xml:space="preserve">CONCAVAS S.A.S
</t>
    </r>
    <r>
      <rPr>
        <sz val="9"/>
        <color rgb="FFFF0000"/>
        <rFont val="Calibri"/>
        <family val="2"/>
        <scheme val="minor"/>
      </rPr>
      <t>(INV. PÚBLICA N°004)</t>
    </r>
  </si>
  <si>
    <t>027-2020</t>
  </si>
  <si>
    <t>001-2020</t>
  </si>
  <si>
    <t>002-2020</t>
  </si>
  <si>
    <t>003-2020</t>
  </si>
  <si>
    <t>004-2020</t>
  </si>
  <si>
    <t>005-2020</t>
  </si>
  <si>
    <t>006-2020</t>
  </si>
  <si>
    <t>007-2020</t>
  </si>
  <si>
    <t>008-2020</t>
  </si>
  <si>
    <t>009-2020</t>
  </si>
  <si>
    <t>010-2020</t>
  </si>
  <si>
    <t>011-2020</t>
  </si>
  <si>
    <t>012-2020</t>
  </si>
  <si>
    <t>013-2020</t>
  </si>
  <si>
    <t>014-2020</t>
  </si>
  <si>
    <t>015-2020</t>
  </si>
  <si>
    <t>016-2020</t>
  </si>
  <si>
    <t>017-2020</t>
  </si>
  <si>
    <t>018-2020</t>
  </si>
  <si>
    <t>019-2020</t>
  </si>
  <si>
    <t>020-2020</t>
  </si>
  <si>
    <t>021-2020</t>
  </si>
  <si>
    <t>022-2020</t>
  </si>
  <si>
    <t>023-2020</t>
  </si>
  <si>
    <t>024-2020</t>
  </si>
  <si>
    <t>025-2020</t>
  </si>
  <si>
    <t>LIQUIDADO- TERMINADO ANTICIPADAMENTE - EL VALOR RESTANTE FUE REINTEGRADO</t>
  </si>
  <si>
    <t>030-2020</t>
  </si>
  <si>
    <t>LLEVAR A CABO LAS ACTIVIDADES RELACIONADAS CON LAS MEDIDAS POLICIVAS EJERCIDAS POR LA DIRECCIÓN ADMINISTRATIVA, AUTORIDAD ESPECIAL DE POLICÍA, INTEGRIDAD URBANÍSTICA DEL MUNICIPIO DE ITAGUÍ</t>
  </si>
  <si>
    <r>
      <t xml:space="preserve">BEATRIZ EUGENIA BARROS
</t>
    </r>
    <r>
      <rPr>
        <sz val="9"/>
        <color rgb="FFFF0000"/>
        <rFont val="Calibri"/>
        <family val="2"/>
        <scheme val="minor"/>
      </rPr>
      <t>(INV. PRIVADA N°004)</t>
    </r>
  </si>
  <si>
    <t>CONTRATO LIQUIDADO- TERMINADO (28/12/2020)</t>
  </si>
  <si>
    <t>031-2020</t>
  </si>
  <si>
    <t>PRESTACION DE SERVICIOS DE SALUD PARA LA REALIZACIÓN DE UN PROFESIOGRAMA Y LAS EVALUACIONES MEDICAS OCUPACIONALES A LOS EMPLEADOS DE LA EMPRESA INDUSTRIAL Y COMERCIAL DEL ESTADO - ADELI.</t>
  </si>
  <si>
    <t>901.261.532-4</t>
  </si>
  <si>
    <t>INGRESEMOS S.A.S</t>
  </si>
  <si>
    <t>032-2020</t>
  </si>
  <si>
    <t>PRESTACION DE SERVICIOS DE APOYO A LA GESTION PARA LA EJECUCION DE ACTIVIDADES OPERATIVAS Y ASISTENCIALES NECESARIAS PARA LLEVAR A CABO INVESTIGACION DE MERCADO DELCOMPLEJO DEPORTIVO OSCAR LOPEZ ESCOBAR DEL MUNICIPIO DE ITAGÜÍ, EN EL MARCO DEL CONVENIO INTERADMINISTRATIVO DE ASOCIACIÓN Nº SI-349 DEL 2018</t>
  </si>
  <si>
    <t>PRIMO ANGEL ROBLES MAYORAL</t>
  </si>
  <si>
    <t>65.6%</t>
  </si>
  <si>
    <t>https://www.contratos.gov.co/consultas/detalleProceso.do?numConstancia=20-4-10950986</t>
  </si>
  <si>
    <t>https://www.contratos.gov.co/consultas/detalleProceso.do?numConstancia=20-4-10933352</t>
  </si>
  <si>
    <t>https://www.contratos.gov.co/consultas/detalleProceso.do?numConstancia=20-4-10935658</t>
  </si>
  <si>
    <t>https://www.contratos.gov.co/consultas/detalleProceso.do?numConstancia=20-4-11072597</t>
  </si>
  <si>
    <t>https://www.contratos.gov.co/consultas/detalleProceso.do?numConstancia=20-4-11264159</t>
  </si>
  <si>
    <t>https://www.contratos.gov.co/consultas/detalleProceso.do?numConstancia=20-4-11283778</t>
  </si>
  <si>
    <t>https://www.contratos.gov.co/consultas/detalleProceso.do?numConstancia=20-4-11254847</t>
  </si>
  <si>
    <t>https://www.contratos.gov.co/consultas/detalleProceso.do?numConstancia=20-4-11328720</t>
  </si>
  <si>
    <t>https://www.contratos.gov.co/consultas/detalleProceso.do?numConstancia=20-4-11376979</t>
  </si>
  <si>
    <t>https://www.contratos.gov.co/consultas/detalleProceso.do?numConstancia=20-4-11420028</t>
  </si>
  <si>
    <t>033-2020</t>
  </si>
  <si>
    <t>034-2020</t>
  </si>
  <si>
    <t>ADQUISICIÓN DE MATERIAL IMPRESO, SEÑALÉTICA, LOGOTIPOS Y SOUVENIRS CORPORATIVOS; CON EL PROPÓSITO DE DIFUNDIR Y POSICIONAR LA NUEVA IDENTIDAD VISUAL DE LA EMPRESA INDUSTRIAL Y COMERCIAL DEL ESTADO – ADELI.</t>
  </si>
  <si>
    <t>PUBLIVISION 1 A S.A.S</t>
  </si>
  <si>
    <t xml:space="preserve">PRESTACIÓN DE SERVICIOS DE APOYO A LA GESTIÓN PARA LLEVAR A CABO LAS ACTIVIDADES LOGÍSTICAS, OPERATIVAS Y ORGANIZACIONALES PARA LA   JORNADA DECEMBRINA, ENMARCADAS EN EL PLAN INSTITUCIONAL DE BIENESTAR LABORAL ESTÍMULOS E INCENTIVOS 2020 PARA LOS SERVIDORES PÚBLICOS Y EMPLEADOS OFICIALES DE – ADELI; ASÍ COMO EL EVENTO DEL DÍA DE LA FAMILIA. </t>
  </si>
  <si>
    <t>EVENTOS PROVISIONES Y DISTRIBUCIONES LA MaYORISTA S.A.S</t>
  </si>
  <si>
    <t>https://www.contratos.gov.co/consultas/detalleProceso.do?numConstancia=20-4-11451118</t>
  </si>
  <si>
    <t>https://www.contratos.gov.co/consultas/detalleProceso.do?numConstancia=20-4-11451214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</si>
</sst>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[$-C0A]d\-mmm\-yyyy;@"/>
    <numFmt numFmtId="165" formatCode="[$$-240A]\ #,##0"/>
    <numFmt numFmtId="166" formatCode="_-&quot;$&quot;* #,##0_-;\-&quot;$&quot;* #,##0_-;_-&quot;$&quot;* &quot;-&quot;??_-;_-@_-"/>
    <numFmt numFmtId="167" formatCode="0.0000"/>
  </numFmts>
  <fonts count="1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theme="1"/>
      <name val="Calibri "/>
    </font>
    <font>
      <sz val="9"/>
      <name val="Calibri 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1" applyFont="1" applyBorder="1"/>
    <xf numFmtId="49" fontId="3" fillId="2" borderId="2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left" vertical="center"/>
    </xf>
    <xf numFmtId="44" fontId="9" fillId="3" borderId="1" xfId="2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5" fontId="10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4" fillId="3" borderId="1" xfId="2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justify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6" fontId="4" fillId="0" borderId="1" xfId="0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66" fontId="16" fillId="3" borderId="1" xfId="2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6" fontId="16" fillId="0" borderId="1" xfId="0" applyNumberFormat="1" applyFont="1" applyBorder="1" applyAlignment="1">
      <alignment horizontal="center" vertical="center"/>
    </xf>
    <xf numFmtId="166" fontId="16" fillId="3" borderId="1" xfId="2" applyNumberFormat="1" applyFont="1" applyFill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/>
    <xf numFmtId="166" fontId="4" fillId="0" borderId="1" xfId="2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6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 wrapText="1"/>
    </xf>
    <xf numFmtId="6" fontId="4" fillId="0" borderId="1" xfId="0" applyNumberFormat="1" applyFont="1" applyFill="1" applyBorder="1" applyAlignment="1">
      <alignment vertical="center" wrapText="1"/>
    </xf>
    <xf numFmtId="6" fontId="15" fillId="0" borderId="1" xfId="0" applyNumberFormat="1" applyFont="1" applyFill="1" applyBorder="1" applyAlignment="1">
      <alignment horizontal="center" vertical="center" wrapText="1"/>
    </xf>
    <xf numFmtId="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6" fontId="5" fillId="0" borderId="1" xfId="0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 wrapText="1"/>
    </xf>
    <xf numFmtId="166" fontId="16" fillId="0" borderId="1" xfId="2" applyNumberFormat="1" applyFont="1" applyFill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20-4-10582864" TargetMode="External"/><Relationship Id="rId13" Type="http://schemas.openxmlformats.org/officeDocument/2006/relationships/hyperlink" Target="https://www.contratos.gov.co/consultas/detalleProceso.do?numConstancia=20-4-10770756" TargetMode="External"/><Relationship Id="rId18" Type="http://schemas.openxmlformats.org/officeDocument/2006/relationships/hyperlink" Target="https://www.contratos.gov.co/consultas/detalleProceso.do?numConstancia=20-4-10935658" TargetMode="External"/><Relationship Id="rId26" Type="http://schemas.openxmlformats.org/officeDocument/2006/relationships/hyperlink" Target="https://www.contratos.gov.co/consultas/detalleProceso.do?numConstancia=20-4-11451118" TargetMode="External"/><Relationship Id="rId3" Type="http://schemas.openxmlformats.org/officeDocument/2006/relationships/hyperlink" Target="https://www.contratos.gov.co/consultas/detalleProceso.do?numConstancia=20-4-10461337" TargetMode="External"/><Relationship Id="rId21" Type="http://schemas.openxmlformats.org/officeDocument/2006/relationships/hyperlink" Target="https://www.contratos.gov.co/consultas/detalleProceso.do?numConstancia=20-4-11116389" TargetMode="External"/><Relationship Id="rId7" Type="http://schemas.openxmlformats.org/officeDocument/2006/relationships/hyperlink" Target="https://www.contratos.gov.co/consultas/detalleProceso.do?numConstancia=20-4-10518932" TargetMode="External"/><Relationship Id="rId12" Type="http://schemas.openxmlformats.org/officeDocument/2006/relationships/hyperlink" Target="https://www.contratos.gov.co/consultas/detalleProceso.do?numConstancia=20-4-10757641" TargetMode="External"/><Relationship Id="rId17" Type="http://schemas.openxmlformats.org/officeDocument/2006/relationships/hyperlink" Target="https://www.contratos.gov.co/consultas/detalleProceso.do?numConstancia=20-4-10950986" TargetMode="External"/><Relationship Id="rId25" Type="http://schemas.openxmlformats.org/officeDocument/2006/relationships/hyperlink" Target="https://www.contratos.gov.co/consultas/detalleProceso.do?numConstancia=20-4-11420028" TargetMode="External"/><Relationship Id="rId2" Type="http://schemas.openxmlformats.org/officeDocument/2006/relationships/hyperlink" Target="https://www.contratos.gov.co/consultas/detalleProceso.do?numConstancia=20-4-10306939" TargetMode="External"/><Relationship Id="rId16" Type="http://schemas.openxmlformats.org/officeDocument/2006/relationships/hyperlink" Target="https://www.contratos.gov.co/consultas/detalleProceso.do?numConstancia=20-4-10944933" TargetMode="External"/><Relationship Id="rId20" Type="http://schemas.openxmlformats.org/officeDocument/2006/relationships/hyperlink" Target="https://www.contratos.gov.co/consultas/detalleProceso.do?numConstancia=20-4-11096789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https://www.contratos.gov.co/consultas/detalleProceso.do?numConstancia=20-4-10306815" TargetMode="External"/><Relationship Id="rId6" Type="http://schemas.openxmlformats.org/officeDocument/2006/relationships/hyperlink" Target="https://www.contratos.gov.co/consultas/detalleProceso.do?numConstancia=20-4-10468814" TargetMode="External"/><Relationship Id="rId11" Type="http://schemas.openxmlformats.org/officeDocument/2006/relationships/hyperlink" Target="https://www.contratos.gov.co/consultas/detalleProceso.do?numConstancia=20-4-10678799" TargetMode="External"/><Relationship Id="rId24" Type="http://schemas.openxmlformats.org/officeDocument/2006/relationships/hyperlink" Target="https://www.contratos.gov.co/consultas/detalleProceso.do?numConstancia=20-4-11254847" TargetMode="External"/><Relationship Id="rId5" Type="http://schemas.openxmlformats.org/officeDocument/2006/relationships/hyperlink" Target="https://www.contratos.gov.co/consultas/detalleProceso.do?numConstancia=20-4-10466814" TargetMode="External"/><Relationship Id="rId15" Type="http://schemas.openxmlformats.org/officeDocument/2006/relationships/hyperlink" Target="https://www.contratos.gov.co/consultas/detalleProceso.do?numConstancia=20-4-10941150" TargetMode="External"/><Relationship Id="rId23" Type="http://schemas.openxmlformats.org/officeDocument/2006/relationships/hyperlink" Target="https://www.contratos.gov.co/consultas/detalleProceso.do?numConstancia=20-4-11376979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contratos.gov.co/consultas/detalleProceso.do?numConstancia=20-4-10622854" TargetMode="External"/><Relationship Id="rId19" Type="http://schemas.openxmlformats.org/officeDocument/2006/relationships/hyperlink" Target="https://www.contratos.gov.co/consultas/detalleProceso.do?numConstancia=20-4-11072597" TargetMode="External"/><Relationship Id="rId4" Type="http://schemas.openxmlformats.org/officeDocument/2006/relationships/hyperlink" Target="https://www.contratos.gov.co/consultas/detalleProceso.do?numConstancia=20-4-10468220" TargetMode="External"/><Relationship Id="rId9" Type="http://schemas.openxmlformats.org/officeDocument/2006/relationships/hyperlink" Target="https://www.contratos.gov.co/consultas/detalleProceso.do?numConstancia=20-4-10614730" TargetMode="External"/><Relationship Id="rId14" Type="http://schemas.openxmlformats.org/officeDocument/2006/relationships/hyperlink" Target="https://www.contratos.gov.co/consultas/detalleProceso.do?numConstancia=20-4-10876322" TargetMode="External"/><Relationship Id="rId22" Type="http://schemas.openxmlformats.org/officeDocument/2006/relationships/hyperlink" Target="https://www.contratos.gov.co/consultas/detalleProceso.do?numConstancia=20-4-11328720" TargetMode="External"/><Relationship Id="rId27" Type="http://schemas.openxmlformats.org/officeDocument/2006/relationships/hyperlink" Target="https://www.contratos.gov.co/consultas/detalleProceso.do?numConstancia=20-4-11451214" TargetMode="Externa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tabSelected="1" zoomScale="80" zoomScaleNormal="80" workbookViewId="0">
      <pane ySplit="1" topLeftCell="A31" activePane="bottomLeft" state="frozen"/>
      <selection pane="bottomLeft" activeCell="L38" sqref="L38"/>
    </sheetView>
  </sheetViews>
  <sheetFormatPr baseColWidth="10" defaultRowHeight="15" x14ac:dyDescent="0.25"/>
  <cols>
    <col min="2" max="2" width="44.7109375" customWidth="1"/>
    <col min="3" max="3" width="14.85546875" customWidth="1"/>
    <col min="4" max="4" width="16.5703125" customWidth="1"/>
    <col min="6" max="6" width="14.7109375" customWidth="1"/>
    <col min="7" max="7" width="15.28515625" customWidth="1"/>
    <col min="8" max="8" width="16.7109375" customWidth="1"/>
    <col min="9" max="9" width="15.140625" customWidth="1"/>
    <col min="10" max="10" width="16.85546875" customWidth="1"/>
    <col min="11" max="12" width="15" customWidth="1"/>
    <col min="13" max="13" width="69.5703125" customWidth="1"/>
    <col min="14" max="14" width="18.5703125" customWidth="1"/>
  </cols>
  <sheetData>
    <row r="1" spans="1:15" ht="36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5" t="s">
        <v>8</v>
      </c>
      <c r="J1" s="1" t="s">
        <v>9</v>
      </c>
      <c r="K1" s="1" t="s">
        <v>10</v>
      </c>
      <c r="L1" s="1" t="s">
        <v>92</v>
      </c>
      <c r="M1" s="1" t="s">
        <v>72</v>
      </c>
    </row>
    <row r="2" spans="1:15" ht="57" customHeight="1" x14ac:dyDescent="0.25">
      <c r="A2" s="7" t="s">
        <v>109</v>
      </c>
      <c r="B2" s="8" t="s">
        <v>11</v>
      </c>
      <c r="C2" s="9">
        <v>1039454323</v>
      </c>
      <c r="D2" s="17" t="s">
        <v>12</v>
      </c>
      <c r="E2" s="10">
        <v>43845</v>
      </c>
      <c r="F2" s="10">
        <v>44195</v>
      </c>
      <c r="G2" s="13">
        <v>52720867</v>
      </c>
      <c r="H2" s="12">
        <v>10600000</v>
      </c>
      <c r="I2" s="45">
        <f>2582867+5158000+5558000+5558000+5558000+5558000+5558000+5558000+5558000+5558000+5558000</f>
        <v>57762867</v>
      </c>
      <c r="J2" s="13">
        <f>G2+H2-I2</f>
        <v>5558000</v>
      </c>
      <c r="K2" s="14">
        <f>(I2*100%)/(G2+H2)</f>
        <v>0.91222482787546166</v>
      </c>
      <c r="L2" s="14">
        <v>0.93</v>
      </c>
      <c r="M2" s="28" t="s">
        <v>57</v>
      </c>
    </row>
    <row r="3" spans="1:15" ht="65.25" customHeight="1" x14ac:dyDescent="0.25">
      <c r="A3" s="7" t="s">
        <v>110</v>
      </c>
      <c r="B3" s="15" t="s">
        <v>13</v>
      </c>
      <c r="C3" s="16">
        <v>98595274</v>
      </c>
      <c r="D3" s="17" t="s">
        <v>14</v>
      </c>
      <c r="E3" s="10">
        <v>43845</v>
      </c>
      <c r="F3" s="10">
        <v>44195</v>
      </c>
      <c r="G3" s="13">
        <v>48454155</v>
      </c>
      <c r="H3" s="18" t="s">
        <v>15</v>
      </c>
      <c r="I3" s="43">
        <f>2373835+4189120+4189120+4189120+4189120+4189120+4189120+4189120+4189120+4189120+4189120</f>
        <v>44265035</v>
      </c>
      <c r="J3" s="19">
        <f t="shared" ref="J3:J19" si="0">G3-I3</f>
        <v>4189120</v>
      </c>
      <c r="K3" s="14">
        <f>(I3*100%)/G3</f>
        <v>0.9135446691826532</v>
      </c>
      <c r="L3" s="63">
        <v>0.94499999999999995</v>
      </c>
      <c r="M3" s="28" t="s">
        <v>58</v>
      </c>
    </row>
    <row r="4" spans="1:15" ht="93" customHeight="1" x14ac:dyDescent="0.25">
      <c r="A4" s="7" t="s">
        <v>111</v>
      </c>
      <c r="B4" s="15" t="s">
        <v>16</v>
      </c>
      <c r="C4" s="16">
        <v>1152189297</v>
      </c>
      <c r="D4" s="17" t="s">
        <v>17</v>
      </c>
      <c r="E4" s="20">
        <v>43875</v>
      </c>
      <c r="F4" s="10">
        <v>44178</v>
      </c>
      <c r="G4" s="13">
        <v>25000000</v>
      </c>
      <c r="H4" s="18" t="s">
        <v>15</v>
      </c>
      <c r="I4" s="43">
        <f>1250000+2500000+2500000+2500000+2500000+2500000+2500000+2500000</f>
        <v>18750000</v>
      </c>
      <c r="J4" s="19">
        <f t="shared" si="0"/>
        <v>6250000</v>
      </c>
      <c r="K4" s="14">
        <f t="shared" ref="K4:K6" si="1">(I4*100%)/G4</f>
        <v>0.75</v>
      </c>
      <c r="L4" s="63" t="s">
        <v>146</v>
      </c>
      <c r="M4" s="28" t="s">
        <v>59</v>
      </c>
    </row>
    <row r="5" spans="1:15" ht="165" customHeight="1" x14ac:dyDescent="0.25">
      <c r="A5" s="7" t="s">
        <v>112</v>
      </c>
      <c r="B5" s="15" t="s">
        <v>18</v>
      </c>
      <c r="C5" s="16">
        <v>1037596455</v>
      </c>
      <c r="D5" s="17" t="s">
        <v>19</v>
      </c>
      <c r="E5" s="20">
        <v>43875</v>
      </c>
      <c r="F5" s="10">
        <v>44178</v>
      </c>
      <c r="G5" s="13">
        <v>60500000</v>
      </c>
      <c r="H5" s="13" t="s">
        <v>15</v>
      </c>
      <c r="I5" s="19">
        <v>1906250</v>
      </c>
      <c r="J5" s="19">
        <f t="shared" si="0"/>
        <v>58593750</v>
      </c>
      <c r="K5" s="14">
        <f t="shared" si="1"/>
        <v>3.1508264462809916E-2</v>
      </c>
      <c r="L5" s="63" t="s">
        <v>93</v>
      </c>
      <c r="M5" s="28" t="s">
        <v>60</v>
      </c>
    </row>
    <row r="6" spans="1:15" ht="156" customHeight="1" x14ac:dyDescent="0.25">
      <c r="A6" s="7" t="s">
        <v>113</v>
      </c>
      <c r="B6" s="15" t="s">
        <v>20</v>
      </c>
      <c r="C6" s="21">
        <v>43446813</v>
      </c>
      <c r="D6" s="17" t="s">
        <v>21</v>
      </c>
      <c r="E6" s="20">
        <v>43875</v>
      </c>
      <c r="F6" s="10">
        <v>44178</v>
      </c>
      <c r="G6" s="13">
        <v>63000000</v>
      </c>
      <c r="H6" s="13" t="s">
        <v>15</v>
      </c>
      <c r="I6" s="43">
        <f>3000000+6000000+6000000+6000000+6000000+6000000+6000000+6000000+6000000+6000000</f>
        <v>57000000</v>
      </c>
      <c r="J6" s="19">
        <f t="shared" si="0"/>
        <v>6000000</v>
      </c>
      <c r="K6" s="14">
        <f t="shared" si="1"/>
        <v>0.90476190476190477</v>
      </c>
      <c r="L6" s="63">
        <v>0.91800000000000004</v>
      </c>
      <c r="M6" s="28" t="s">
        <v>61</v>
      </c>
    </row>
    <row r="7" spans="1:15" ht="171" customHeight="1" x14ac:dyDescent="0.25">
      <c r="A7" s="7" t="s">
        <v>114</v>
      </c>
      <c r="B7" s="15" t="s">
        <v>22</v>
      </c>
      <c r="C7" s="21">
        <v>98464303</v>
      </c>
      <c r="D7" s="17" t="s">
        <v>23</v>
      </c>
      <c r="E7" s="20">
        <v>43875</v>
      </c>
      <c r="F7" s="10">
        <v>44178</v>
      </c>
      <c r="G7" s="13">
        <v>77000000</v>
      </c>
      <c r="H7" s="13" t="s">
        <v>15</v>
      </c>
      <c r="I7" s="43">
        <f>3898000+7310200+7310200+7310200+7310200+7310200+7310200+7310200+7310200+7310200</f>
        <v>69689800</v>
      </c>
      <c r="J7" s="19">
        <f t="shared" si="0"/>
        <v>7310200</v>
      </c>
      <c r="K7" s="14">
        <f>(I7*100%)/G7</f>
        <v>0.90506233766233768</v>
      </c>
      <c r="L7" s="14">
        <v>0.91869999999999996</v>
      </c>
      <c r="M7" s="28" t="s">
        <v>62</v>
      </c>
    </row>
    <row r="8" spans="1:15" ht="168.75" customHeight="1" x14ac:dyDescent="0.25">
      <c r="A8" s="7" t="s">
        <v>115</v>
      </c>
      <c r="B8" s="15" t="s">
        <v>24</v>
      </c>
      <c r="C8" s="21">
        <v>71273344</v>
      </c>
      <c r="D8" s="17" t="s">
        <v>25</v>
      </c>
      <c r="E8" s="20">
        <v>43887</v>
      </c>
      <c r="F8" s="10">
        <v>44196</v>
      </c>
      <c r="G8" s="13">
        <v>17850000</v>
      </c>
      <c r="H8" s="18" t="s">
        <v>15</v>
      </c>
      <c r="I8" s="43">
        <f>235000+1761500+1761500+1761500+1761500+1761500+1761500+1761500+1761500+1761500</f>
        <v>16088500</v>
      </c>
      <c r="J8" s="19">
        <f t="shared" si="0"/>
        <v>1761500</v>
      </c>
      <c r="K8" s="14">
        <f t="shared" ref="K8:K27" si="2">(I8*100%)/G8</f>
        <v>0.90131652661064421</v>
      </c>
      <c r="L8" s="14">
        <v>0.9123</v>
      </c>
      <c r="M8" s="28" t="s">
        <v>63</v>
      </c>
    </row>
    <row r="9" spans="1:15" ht="66" customHeight="1" x14ac:dyDescent="0.25">
      <c r="A9" s="7" t="s">
        <v>116</v>
      </c>
      <c r="B9" s="15" t="s">
        <v>26</v>
      </c>
      <c r="C9" s="21" t="s">
        <v>27</v>
      </c>
      <c r="D9" s="17" t="s">
        <v>28</v>
      </c>
      <c r="E9" s="20">
        <v>43902</v>
      </c>
      <c r="F9" s="10">
        <v>44054</v>
      </c>
      <c r="G9" s="13">
        <v>5060000</v>
      </c>
      <c r="H9" s="22">
        <v>2024000</v>
      </c>
      <c r="I9" s="43">
        <f>1012000+1012000+1012000+1012000+1012000+1012000+1012000</f>
        <v>7084000</v>
      </c>
      <c r="J9" s="19">
        <f>H9+G9-I9</f>
        <v>0</v>
      </c>
      <c r="K9" s="23">
        <f>(I9*100%)/(G9+H9)</f>
        <v>1</v>
      </c>
      <c r="L9" s="23">
        <v>1</v>
      </c>
      <c r="M9" s="28" t="s">
        <v>64</v>
      </c>
      <c r="N9" s="44" t="s">
        <v>138</v>
      </c>
    </row>
    <row r="10" spans="1:15" ht="96.75" customHeight="1" x14ac:dyDescent="0.25">
      <c r="A10" s="7" t="s">
        <v>117</v>
      </c>
      <c r="B10" s="15" t="s">
        <v>29</v>
      </c>
      <c r="C10" s="21" t="s">
        <v>30</v>
      </c>
      <c r="D10" s="17" t="s">
        <v>31</v>
      </c>
      <c r="E10" s="20">
        <v>43908</v>
      </c>
      <c r="F10" s="10">
        <v>44193</v>
      </c>
      <c r="G10" s="13">
        <v>78045000</v>
      </c>
      <c r="H10" s="18" t="s">
        <v>15</v>
      </c>
      <c r="I10" s="43">
        <f>3796334+8332000+8332000+8332000+8332000+8332000+8332000+8332000+8332000</f>
        <v>70452334</v>
      </c>
      <c r="J10" s="19">
        <f t="shared" si="0"/>
        <v>7592666</v>
      </c>
      <c r="K10" s="14">
        <f t="shared" si="2"/>
        <v>0.90271425459670707</v>
      </c>
      <c r="L10" s="14">
        <v>0.94299999999999995</v>
      </c>
      <c r="M10" s="28" t="s">
        <v>65</v>
      </c>
    </row>
    <row r="11" spans="1:15" ht="108.75" customHeight="1" x14ac:dyDescent="0.25">
      <c r="A11" s="7" t="s">
        <v>118</v>
      </c>
      <c r="B11" s="15" t="s">
        <v>32</v>
      </c>
      <c r="C11" s="21" t="s">
        <v>33</v>
      </c>
      <c r="D11" s="17" t="s">
        <v>34</v>
      </c>
      <c r="E11" s="20">
        <v>43910</v>
      </c>
      <c r="F11" s="10">
        <v>44193</v>
      </c>
      <c r="G11" s="13">
        <v>21000000</v>
      </c>
      <c r="H11" s="18" t="s">
        <v>15</v>
      </c>
      <c r="I11" s="43">
        <f>903000+2258000+2258000+2258000+2258000+2258000+2258000+2258000+2258000</f>
        <v>18967000</v>
      </c>
      <c r="J11" s="19">
        <f t="shared" si="0"/>
        <v>2033000</v>
      </c>
      <c r="K11" s="14">
        <f t="shared" si="2"/>
        <v>0.90319047619047621</v>
      </c>
      <c r="L11" s="14">
        <v>0.94399999999999995</v>
      </c>
      <c r="M11" s="28" t="s">
        <v>66</v>
      </c>
    </row>
    <row r="12" spans="1:15" ht="139.5" customHeight="1" x14ac:dyDescent="0.25">
      <c r="A12" s="7" t="s">
        <v>119</v>
      </c>
      <c r="B12" s="15" t="s">
        <v>35</v>
      </c>
      <c r="C12" s="21" t="s">
        <v>36</v>
      </c>
      <c r="D12" s="17" t="s">
        <v>37</v>
      </c>
      <c r="E12" s="24">
        <v>43924</v>
      </c>
      <c r="F12" s="25">
        <v>44303</v>
      </c>
      <c r="G12" s="13">
        <v>28481020</v>
      </c>
      <c r="H12" s="18" t="s">
        <v>15</v>
      </c>
      <c r="I12" s="43">
        <v>28481020</v>
      </c>
      <c r="J12" s="19">
        <f t="shared" si="0"/>
        <v>0</v>
      </c>
      <c r="K12" s="14">
        <f t="shared" si="2"/>
        <v>1</v>
      </c>
      <c r="L12" s="14">
        <v>1</v>
      </c>
      <c r="M12" s="28" t="s">
        <v>67</v>
      </c>
    </row>
    <row r="13" spans="1:15" ht="87.75" customHeight="1" x14ac:dyDescent="0.25">
      <c r="A13" s="7" t="s">
        <v>120</v>
      </c>
      <c r="B13" s="15" t="s">
        <v>38</v>
      </c>
      <c r="C13" s="21">
        <v>42782362</v>
      </c>
      <c r="D13" s="17" t="s">
        <v>39</v>
      </c>
      <c r="E13" s="24">
        <v>43963</v>
      </c>
      <c r="F13" s="25">
        <v>44193</v>
      </c>
      <c r="G13" s="13">
        <v>34488867</v>
      </c>
      <c r="H13" s="27"/>
      <c r="I13" s="43">
        <f>2886000+4558000+2279000</f>
        <v>9723000</v>
      </c>
      <c r="J13" s="19">
        <f t="shared" si="0"/>
        <v>24765867</v>
      </c>
      <c r="K13" s="14">
        <f t="shared" si="2"/>
        <v>0.28191706036617553</v>
      </c>
      <c r="L13" s="14">
        <v>0.57099999999999995</v>
      </c>
      <c r="M13" s="28" t="s">
        <v>68</v>
      </c>
      <c r="N13" s="44" t="s">
        <v>134</v>
      </c>
      <c r="O13" s="46"/>
    </row>
    <row r="14" spans="1:15" ht="108.75" customHeight="1" x14ac:dyDescent="0.25">
      <c r="A14" s="7" t="s">
        <v>121</v>
      </c>
      <c r="B14" s="15" t="s">
        <v>40</v>
      </c>
      <c r="C14" s="21">
        <v>1036599812</v>
      </c>
      <c r="D14" s="17" t="s">
        <v>41</v>
      </c>
      <c r="E14" s="24">
        <v>43966</v>
      </c>
      <c r="F14" s="25">
        <v>44193</v>
      </c>
      <c r="G14" s="13">
        <v>15000000</v>
      </c>
      <c r="H14" s="26"/>
      <c r="I14" s="43">
        <f>1000000+2000000+2000000+2000000+2000000+2000000+2000000</f>
        <v>13000000</v>
      </c>
      <c r="J14" s="19">
        <f t="shared" si="0"/>
        <v>2000000</v>
      </c>
      <c r="K14" s="14">
        <f t="shared" si="2"/>
        <v>0.8666666666666667</v>
      </c>
      <c r="L14" s="14">
        <v>0.85099999999999998</v>
      </c>
      <c r="M14" s="28" t="s">
        <v>69</v>
      </c>
    </row>
    <row r="15" spans="1:15" ht="67.5" customHeight="1" x14ac:dyDescent="0.25">
      <c r="A15" s="7" t="s">
        <v>122</v>
      </c>
      <c r="B15" s="15" t="s">
        <v>42</v>
      </c>
      <c r="C15" s="21">
        <v>94477864</v>
      </c>
      <c r="D15" s="17" t="s">
        <v>43</v>
      </c>
      <c r="E15" s="24">
        <v>44007</v>
      </c>
      <c r="F15" s="25">
        <v>44194</v>
      </c>
      <c r="G15" s="13">
        <v>23433000</v>
      </c>
      <c r="H15" s="26"/>
      <c r="I15" s="45">
        <f>633000+3800000+3800000+3800000+3800000+3800000</f>
        <v>19633000</v>
      </c>
      <c r="J15" s="19">
        <f t="shared" si="0"/>
        <v>3800000</v>
      </c>
      <c r="K15" s="14">
        <f t="shared" si="2"/>
        <v>0.83783553108863573</v>
      </c>
      <c r="L15" s="14">
        <v>0.82120000000000004</v>
      </c>
      <c r="M15" s="28" t="s">
        <v>70</v>
      </c>
    </row>
    <row r="16" spans="1:15" ht="79.5" customHeight="1" x14ac:dyDescent="0.25">
      <c r="A16" s="7" t="s">
        <v>123</v>
      </c>
      <c r="B16" s="64" t="s">
        <v>44</v>
      </c>
      <c r="C16" s="21">
        <v>32240117</v>
      </c>
      <c r="D16" s="65" t="s">
        <v>45</v>
      </c>
      <c r="E16" s="66">
        <v>44028</v>
      </c>
      <c r="F16" s="66">
        <v>44194</v>
      </c>
      <c r="G16" s="19">
        <v>35750000</v>
      </c>
      <c r="H16" s="67"/>
      <c r="I16" s="43">
        <f>3250000+6500000+6500000+6500000+6500000+6500000</f>
        <v>35750000</v>
      </c>
      <c r="J16" s="19">
        <f t="shared" si="0"/>
        <v>0</v>
      </c>
      <c r="K16" s="63">
        <f t="shared" si="2"/>
        <v>1</v>
      </c>
      <c r="L16" s="63">
        <v>1</v>
      </c>
      <c r="M16" s="28" t="s">
        <v>71</v>
      </c>
    </row>
    <row r="17" spans="1:19" ht="67.5" customHeight="1" x14ac:dyDescent="0.25">
      <c r="A17" s="7" t="s">
        <v>124</v>
      </c>
      <c r="B17" s="64" t="s">
        <v>46</v>
      </c>
      <c r="C17" s="21">
        <v>1036612450</v>
      </c>
      <c r="D17" s="65" t="s">
        <v>47</v>
      </c>
      <c r="E17" s="66">
        <v>44028</v>
      </c>
      <c r="F17" s="66">
        <v>44194</v>
      </c>
      <c r="G17" s="19">
        <v>24900000</v>
      </c>
      <c r="H17" s="67"/>
      <c r="I17" s="43">
        <f>2400000+4500000+4500000+4500000+4500000</f>
        <v>20400000</v>
      </c>
      <c r="J17" s="19">
        <f t="shared" si="0"/>
        <v>4500000</v>
      </c>
      <c r="K17" s="63">
        <f t="shared" si="2"/>
        <v>0.81927710843373491</v>
      </c>
      <c r="L17" s="14">
        <v>0.79800000000000004</v>
      </c>
      <c r="M17" s="28" t="s">
        <v>73</v>
      </c>
    </row>
    <row r="18" spans="1:19" ht="91.5" customHeight="1" x14ac:dyDescent="0.25">
      <c r="A18" s="7" t="s">
        <v>125</v>
      </c>
      <c r="B18" s="64" t="s">
        <v>48</v>
      </c>
      <c r="C18" s="21" t="s">
        <v>49</v>
      </c>
      <c r="D18" s="65" t="s">
        <v>50</v>
      </c>
      <c r="E18" s="67"/>
      <c r="F18" s="66">
        <v>44048</v>
      </c>
      <c r="G18" s="19">
        <v>4000000</v>
      </c>
      <c r="H18" s="67"/>
      <c r="I18" s="43">
        <v>2355628</v>
      </c>
      <c r="J18" s="19">
        <f t="shared" si="0"/>
        <v>1644372</v>
      </c>
      <c r="K18" s="63">
        <f t="shared" si="2"/>
        <v>0.58890699999999996</v>
      </c>
      <c r="L18" s="14">
        <v>1</v>
      </c>
      <c r="M18" s="28" t="s">
        <v>74</v>
      </c>
    </row>
    <row r="19" spans="1:19" ht="96" customHeight="1" x14ac:dyDescent="0.25">
      <c r="A19" s="7" t="s">
        <v>126</v>
      </c>
      <c r="B19" s="64" t="s">
        <v>51</v>
      </c>
      <c r="C19" s="21">
        <v>8032521</v>
      </c>
      <c r="D19" s="65" t="s">
        <v>52</v>
      </c>
      <c r="E19" s="66">
        <v>44049</v>
      </c>
      <c r="F19" s="66">
        <v>44196</v>
      </c>
      <c r="G19" s="19">
        <v>1000000</v>
      </c>
      <c r="H19" s="67"/>
      <c r="I19" s="19">
        <v>949055</v>
      </c>
      <c r="J19" s="19">
        <f t="shared" si="0"/>
        <v>50945</v>
      </c>
      <c r="K19" s="63">
        <f t="shared" si="2"/>
        <v>0.94905499999999998</v>
      </c>
      <c r="L19" s="14">
        <v>0.25</v>
      </c>
      <c r="M19" s="28" t="s">
        <v>75</v>
      </c>
    </row>
    <row r="20" spans="1:19" ht="46.5" customHeight="1" x14ac:dyDescent="0.25">
      <c r="A20" s="29" t="s">
        <v>127</v>
      </c>
      <c r="B20" s="64" t="s">
        <v>77</v>
      </c>
      <c r="C20" s="21" t="s">
        <v>78</v>
      </c>
      <c r="D20" s="65" t="s">
        <v>79</v>
      </c>
      <c r="E20" s="66">
        <v>44062</v>
      </c>
      <c r="F20" s="66">
        <v>44183</v>
      </c>
      <c r="G20" s="19">
        <v>2332439985</v>
      </c>
      <c r="H20" s="19"/>
      <c r="I20" s="68">
        <f>G20*0.3+383284088+575800776+440174425</f>
        <v>2098991284.5</v>
      </c>
      <c r="J20" s="69">
        <f>G20+H20-I20</f>
        <v>233448700.5</v>
      </c>
      <c r="K20" s="53">
        <f t="shared" ref="K20:K23" si="3">(I20*100%)/(G20+H20)</f>
        <v>0.89991223697016154</v>
      </c>
      <c r="L20" s="53">
        <v>0.9</v>
      </c>
      <c r="M20" s="28" t="s">
        <v>147</v>
      </c>
      <c r="N20" s="33"/>
      <c r="O20" s="30">
        <v>44183</v>
      </c>
      <c r="P20" s="34">
        <v>2332439985</v>
      </c>
      <c r="Q20" s="31">
        <v>0</v>
      </c>
      <c r="R20" s="32">
        <f>P20*0.3</f>
        <v>699731995.5</v>
      </c>
      <c r="S20" s="34">
        <f>P20+Q20-R20</f>
        <v>1632707989.5</v>
      </c>
    </row>
    <row r="21" spans="1:19" ht="81" customHeight="1" x14ac:dyDescent="0.25">
      <c r="A21" s="7" t="s">
        <v>128</v>
      </c>
      <c r="B21" s="64" t="s">
        <v>80</v>
      </c>
      <c r="C21" s="21" t="s">
        <v>81</v>
      </c>
      <c r="D21" s="65" t="s">
        <v>82</v>
      </c>
      <c r="E21" s="66">
        <v>44057</v>
      </c>
      <c r="F21" s="66">
        <v>44193</v>
      </c>
      <c r="G21" s="19">
        <v>312437475</v>
      </c>
      <c r="H21" s="52">
        <v>69430550</v>
      </c>
      <c r="I21" s="68">
        <f>69430550+69430550+69430550+111088880</f>
        <v>319380530</v>
      </c>
      <c r="J21" s="19">
        <f>(G21+H21)-I21</f>
        <v>62487495</v>
      </c>
      <c r="K21" s="53">
        <f t="shared" si="3"/>
        <v>0.83636363636363631</v>
      </c>
      <c r="L21" s="53">
        <v>0.9</v>
      </c>
      <c r="M21" s="36" t="s">
        <v>94</v>
      </c>
      <c r="O21" s="30">
        <v>44193</v>
      </c>
      <c r="P21" s="34">
        <v>312437475</v>
      </c>
      <c r="Q21" s="31">
        <v>0</v>
      </c>
      <c r="R21" s="32">
        <v>0</v>
      </c>
      <c r="S21" s="34">
        <f>P21</f>
        <v>312437475</v>
      </c>
    </row>
    <row r="22" spans="1:19" ht="47.25" x14ac:dyDescent="0.25">
      <c r="A22" s="7" t="s">
        <v>129</v>
      </c>
      <c r="B22" s="64" t="s">
        <v>83</v>
      </c>
      <c r="C22" s="21" t="s">
        <v>84</v>
      </c>
      <c r="D22" s="65" t="s">
        <v>85</v>
      </c>
      <c r="E22" s="66">
        <v>44062</v>
      </c>
      <c r="F22" s="66">
        <v>44183</v>
      </c>
      <c r="G22" s="19">
        <v>5203099515</v>
      </c>
      <c r="H22" s="19"/>
      <c r="I22" s="68">
        <f>1156405172+404524683+1083846207+673319628</f>
        <v>3318095690</v>
      </c>
      <c r="J22" s="19">
        <f>G22-I22</f>
        <v>1885003825</v>
      </c>
      <c r="K22" s="53">
        <f t="shared" si="3"/>
        <v>0.63771520810514426</v>
      </c>
      <c r="L22" s="53">
        <v>0.75</v>
      </c>
      <c r="M22" s="28" t="s">
        <v>148</v>
      </c>
      <c r="O22" s="30">
        <v>44183</v>
      </c>
      <c r="P22" s="34">
        <v>5203099515</v>
      </c>
      <c r="Q22" s="31">
        <v>0</v>
      </c>
      <c r="R22" s="32">
        <f>P22*0.3</f>
        <v>1560929854.5</v>
      </c>
      <c r="S22" s="34">
        <f>P22</f>
        <v>5203099515</v>
      </c>
    </row>
    <row r="23" spans="1:19" ht="86.25" customHeight="1" x14ac:dyDescent="0.25">
      <c r="A23" s="7" t="s">
        <v>130</v>
      </c>
      <c r="B23" s="64" t="s">
        <v>86</v>
      </c>
      <c r="C23" s="21" t="s">
        <v>87</v>
      </c>
      <c r="D23" s="65" t="s">
        <v>88</v>
      </c>
      <c r="E23" s="66">
        <v>44057</v>
      </c>
      <c r="F23" s="66">
        <v>44193</v>
      </c>
      <c r="G23" s="19">
        <v>497740111</v>
      </c>
      <c r="H23" s="52">
        <f>14532248+115439895</f>
        <v>129972143</v>
      </c>
      <c r="I23" s="68">
        <f>169511472+116242907+113825201</f>
        <v>399579580</v>
      </c>
      <c r="J23" s="19">
        <f>G23+H23-I23</f>
        <v>228132674</v>
      </c>
      <c r="K23" s="53">
        <f t="shared" si="3"/>
        <v>0.6365648869426086</v>
      </c>
      <c r="L23" s="53">
        <v>0.7</v>
      </c>
      <c r="M23" s="28" t="s">
        <v>149</v>
      </c>
      <c r="O23" s="30">
        <v>44193</v>
      </c>
      <c r="P23" s="34">
        <v>497740111</v>
      </c>
      <c r="Q23" s="31">
        <v>0</v>
      </c>
      <c r="R23" s="32">
        <v>0</v>
      </c>
      <c r="S23" s="34">
        <f>P23</f>
        <v>497740111</v>
      </c>
    </row>
    <row r="24" spans="1:19" ht="67.5" customHeight="1" x14ac:dyDescent="0.25">
      <c r="A24" s="35" t="s">
        <v>131</v>
      </c>
      <c r="B24" s="49" t="s">
        <v>89</v>
      </c>
      <c r="C24" s="21" t="s">
        <v>90</v>
      </c>
      <c r="D24" s="65" t="s">
        <v>91</v>
      </c>
      <c r="E24" s="66">
        <v>44078</v>
      </c>
      <c r="F24" s="66">
        <v>44097</v>
      </c>
      <c r="G24" s="19">
        <v>120000000</v>
      </c>
      <c r="H24" s="19">
        <v>60000000</v>
      </c>
      <c r="I24" s="19">
        <v>180000000</v>
      </c>
      <c r="J24" s="19">
        <v>0</v>
      </c>
      <c r="K24" s="63">
        <v>1</v>
      </c>
      <c r="L24" s="63">
        <v>1</v>
      </c>
      <c r="M24" s="28" t="s">
        <v>150</v>
      </c>
    </row>
    <row r="25" spans="1:19" ht="138.75" customHeight="1" x14ac:dyDescent="0.25">
      <c r="A25" s="7" t="s">
        <v>132</v>
      </c>
      <c r="B25" s="64" t="s">
        <v>53</v>
      </c>
      <c r="C25" s="21">
        <v>1037596455</v>
      </c>
      <c r="D25" s="64" t="s">
        <v>19</v>
      </c>
      <c r="E25" s="70">
        <v>44078</v>
      </c>
      <c r="F25" s="50">
        <v>44196</v>
      </c>
      <c r="G25" s="51">
        <v>22597000</v>
      </c>
      <c r="H25" s="71"/>
      <c r="I25" s="72">
        <f>5745000+5745000+5745000</f>
        <v>17235000</v>
      </c>
      <c r="J25" s="51">
        <v>22597000</v>
      </c>
      <c r="K25" s="63">
        <f t="shared" si="2"/>
        <v>0.76271186440677963</v>
      </c>
      <c r="L25" s="63">
        <v>0.66100000000000003</v>
      </c>
      <c r="M25" s="36" t="s">
        <v>94</v>
      </c>
    </row>
    <row r="26" spans="1:19" ht="158.25" customHeight="1" x14ac:dyDescent="0.25">
      <c r="A26" s="7" t="s">
        <v>133</v>
      </c>
      <c r="B26" s="64" t="s">
        <v>54</v>
      </c>
      <c r="C26" s="21" t="s">
        <v>55</v>
      </c>
      <c r="D26" s="64" t="s">
        <v>56</v>
      </c>
      <c r="E26" s="73">
        <v>44090</v>
      </c>
      <c r="F26" s="73">
        <v>44104</v>
      </c>
      <c r="G26" s="74">
        <v>9520000</v>
      </c>
      <c r="H26" s="47"/>
      <c r="I26" s="75">
        <f>9520000</f>
        <v>9520000</v>
      </c>
      <c r="J26" s="76">
        <v>0</v>
      </c>
      <c r="K26" s="63">
        <f t="shared" si="2"/>
        <v>1</v>
      </c>
      <c r="L26" s="63">
        <v>1</v>
      </c>
      <c r="M26" s="28" t="s">
        <v>76</v>
      </c>
    </row>
    <row r="27" spans="1:19" ht="42.75" customHeight="1" x14ac:dyDescent="0.25">
      <c r="A27" s="37" t="s">
        <v>95</v>
      </c>
      <c r="B27" s="64" t="s">
        <v>98</v>
      </c>
      <c r="C27" s="21" t="s">
        <v>96</v>
      </c>
      <c r="D27" s="47" t="s">
        <v>97</v>
      </c>
      <c r="E27" s="50">
        <v>44127</v>
      </c>
      <c r="F27" s="77">
        <v>44227</v>
      </c>
      <c r="G27" s="78">
        <v>2431216600</v>
      </c>
      <c r="H27" s="79">
        <v>0</v>
      </c>
      <c r="I27" s="80">
        <f>972486640+972486640</f>
        <v>1944973280</v>
      </c>
      <c r="J27" s="79">
        <f>G27-I27</f>
        <v>486243320</v>
      </c>
      <c r="K27" s="63">
        <f t="shared" si="2"/>
        <v>0.8</v>
      </c>
      <c r="L27" s="14">
        <v>0.78900000000000003</v>
      </c>
      <c r="M27" s="28" t="s">
        <v>151</v>
      </c>
    </row>
    <row r="28" spans="1:19" x14ac:dyDescent="0.25">
      <c r="A28" s="37" t="s">
        <v>108</v>
      </c>
      <c r="B28" s="48" t="s">
        <v>99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9" ht="69" customHeight="1" x14ac:dyDescent="0.25">
      <c r="A29" s="39" t="s">
        <v>100</v>
      </c>
      <c r="B29" s="40" t="s">
        <v>101</v>
      </c>
      <c r="C29" s="16" t="s">
        <v>102</v>
      </c>
      <c r="D29" s="41" t="s">
        <v>103</v>
      </c>
      <c r="E29" s="20">
        <v>44133</v>
      </c>
      <c r="F29" s="10">
        <v>44194</v>
      </c>
      <c r="G29" s="22">
        <v>175084700</v>
      </c>
      <c r="H29" s="42"/>
      <c r="I29" s="42">
        <f>G29*0.5</f>
        <v>87542350</v>
      </c>
      <c r="J29" s="22">
        <f>G29-I29</f>
        <v>87542350</v>
      </c>
      <c r="K29" s="14">
        <f t="shared" ref="K29:K30" si="4">(I29*100%)/G29</f>
        <v>0.5</v>
      </c>
      <c r="L29" s="14">
        <v>0.49299999999999999</v>
      </c>
      <c r="M29" s="28" t="s">
        <v>152</v>
      </c>
    </row>
    <row r="30" spans="1:19" ht="94.5" customHeight="1" x14ac:dyDescent="0.25">
      <c r="A30" s="39" t="s">
        <v>104</v>
      </c>
      <c r="B30" s="40" t="s">
        <v>105</v>
      </c>
      <c r="C30" s="16" t="s">
        <v>106</v>
      </c>
      <c r="D30" s="41" t="s">
        <v>107</v>
      </c>
      <c r="E30" s="20">
        <v>44147</v>
      </c>
      <c r="F30" s="10">
        <v>44327</v>
      </c>
      <c r="G30" s="22">
        <v>3607877378</v>
      </c>
      <c r="H30" s="22"/>
      <c r="I30" s="22">
        <f>G30-J30</f>
        <v>541173067</v>
      </c>
      <c r="J30" s="22">
        <v>3066704311</v>
      </c>
      <c r="K30" s="14">
        <f t="shared" si="4"/>
        <v>0.14999763304039876</v>
      </c>
      <c r="L30" s="14">
        <v>0.46700000000000003</v>
      </c>
      <c r="M30" s="28" t="s">
        <v>153</v>
      </c>
    </row>
    <row r="31" spans="1:19" ht="70.5" customHeight="1" x14ac:dyDescent="0.25">
      <c r="A31" s="39" t="s">
        <v>135</v>
      </c>
      <c r="B31" s="40" t="s">
        <v>136</v>
      </c>
      <c r="C31" s="16">
        <v>43517263</v>
      </c>
      <c r="D31" s="11" t="s">
        <v>137</v>
      </c>
      <c r="E31" s="50">
        <v>44147</v>
      </c>
      <c r="F31" s="50">
        <v>44224</v>
      </c>
      <c r="G31" s="51">
        <v>149500000</v>
      </c>
      <c r="H31" s="52"/>
      <c r="I31" s="38"/>
      <c r="J31" s="51">
        <v>149500000</v>
      </c>
      <c r="K31" s="53">
        <v>0</v>
      </c>
      <c r="L31" s="14">
        <v>0.4</v>
      </c>
      <c r="M31" s="28" t="s">
        <v>154</v>
      </c>
    </row>
    <row r="32" spans="1:19" ht="74.25" customHeight="1" x14ac:dyDescent="0.25">
      <c r="A32" s="37" t="s">
        <v>139</v>
      </c>
      <c r="B32" s="55" t="s">
        <v>140</v>
      </c>
      <c r="C32" s="56" t="s">
        <v>141</v>
      </c>
      <c r="D32" s="57" t="s">
        <v>142</v>
      </c>
      <c r="E32" s="58">
        <v>44162</v>
      </c>
      <c r="F32" s="59">
        <v>44192</v>
      </c>
      <c r="G32" s="60">
        <v>1000000</v>
      </c>
      <c r="H32" s="61"/>
      <c r="I32" s="54"/>
      <c r="J32" s="60">
        <v>1000000</v>
      </c>
      <c r="K32" s="62">
        <v>0</v>
      </c>
      <c r="L32" s="14">
        <v>0.57899999999999996</v>
      </c>
      <c r="M32" s="28" t="s">
        <v>155</v>
      </c>
    </row>
    <row r="33" spans="1:13" ht="104.25" customHeight="1" x14ac:dyDescent="0.25">
      <c r="A33" s="37" t="s">
        <v>143</v>
      </c>
      <c r="B33" s="55" t="s">
        <v>144</v>
      </c>
      <c r="C33" s="56">
        <v>72285136</v>
      </c>
      <c r="D33" s="57" t="s">
        <v>145</v>
      </c>
      <c r="E33" s="58">
        <v>44175</v>
      </c>
      <c r="F33" s="59">
        <v>44191</v>
      </c>
      <c r="G33" s="60">
        <v>6527262</v>
      </c>
      <c r="H33" s="61"/>
      <c r="I33" s="54"/>
      <c r="J33" s="60">
        <v>6527262</v>
      </c>
      <c r="K33" s="62">
        <v>0</v>
      </c>
      <c r="L33" s="63">
        <v>1</v>
      </c>
      <c r="M33" s="28" t="s">
        <v>156</v>
      </c>
    </row>
    <row r="34" spans="1:13" ht="75.75" customHeight="1" x14ac:dyDescent="0.25">
      <c r="A34" s="37" t="s">
        <v>157</v>
      </c>
      <c r="B34" s="55" t="s">
        <v>159</v>
      </c>
      <c r="C34" s="56">
        <v>811032162</v>
      </c>
      <c r="D34" s="57" t="s">
        <v>160</v>
      </c>
      <c r="E34" s="58">
        <v>44186</v>
      </c>
      <c r="F34" s="59">
        <v>44195</v>
      </c>
      <c r="G34" s="60">
        <v>7999537</v>
      </c>
      <c r="H34" s="38"/>
      <c r="I34" s="38"/>
      <c r="J34" s="60">
        <v>7999537</v>
      </c>
      <c r="K34" s="62">
        <v>0</v>
      </c>
      <c r="L34" s="63">
        <v>1</v>
      </c>
      <c r="M34" s="28" t="s">
        <v>163</v>
      </c>
    </row>
    <row r="35" spans="1:13" ht="118.5" customHeight="1" x14ac:dyDescent="0.25">
      <c r="A35" s="37" t="s">
        <v>158</v>
      </c>
      <c r="B35" s="55" t="s">
        <v>161</v>
      </c>
      <c r="C35" s="56">
        <v>901180925</v>
      </c>
      <c r="D35" s="57" t="s">
        <v>162</v>
      </c>
      <c r="E35" s="58">
        <v>44182</v>
      </c>
      <c r="F35" s="59">
        <v>44189</v>
      </c>
      <c r="G35" s="60">
        <v>22376670</v>
      </c>
      <c r="H35" s="38"/>
      <c r="I35" s="38"/>
      <c r="J35" s="60">
        <v>22376670</v>
      </c>
      <c r="K35" s="62">
        <v>0</v>
      </c>
      <c r="L35" s="63">
        <v>1</v>
      </c>
      <c r="M35" s="28" t="s">
        <v>164</v>
      </c>
    </row>
  </sheetData>
  <mergeCells count="1">
    <mergeCell ref="B28:M28"/>
  </mergeCells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5" r:id="rId14"/>
    <hyperlink ref="M16" r:id="rId15"/>
    <hyperlink ref="M17" r:id="rId16"/>
    <hyperlink ref="M20" r:id="rId17"/>
    <hyperlink ref="M23" r:id="rId18"/>
    <hyperlink ref="M24" r:id="rId19"/>
    <hyperlink ref="M25" r:id="rId20" display="https://www.contratos.gov.co/consultas/detalleProceso.do?numConstancia=20-4-11096789"/>
    <hyperlink ref="M26" r:id="rId21"/>
    <hyperlink ref="M31" r:id="rId22"/>
    <hyperlink ref="M32" r:id="rId23"/>
    <hyperlink ref="M30" r:id="rId24"/>
    <hyperlink ref="M33" r:id="rId25"/>
    <hyperlink ref="M34" r:id="rId26"/>
    <hyperlink ref="M35" r:id="rId27"/>
  </hyperlinks>
  <pageMargins left="0.7" right="0.7" top="0.75" bottom="0.75" header="0.3" footer="0.3"/>
  <pageSetup orientation="portrait" r:id="rId28"/>
  <legacy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Estefanía Sánchez Zapata</dc:creator>
  <cp:lastModifiedBy>Estefanía Sánchez Zapata</cp:lastModifiedBy>
  <dcterms:created xsi:type="dcterms:W3CDTF">2020-10-07T18:32:48Z</dcterms:created>
  <dcterms:modified xsi:type="dcterms:W3CDTF">2020-12-29T22:43:41Z</dcterms:modified>
</cp:coreProperties>
</file>